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8260" windowHeight="17120" tabRatio="500" activeTab="0"/>
  </bookViews>
  <sheets>
    <sheet name="burn1" sheetId="1" r:id="rId1"/>
    <sheet name="burn2" sheetId="2" r:id="rId2"/>
    <sheet name="burn3" sheetId="3" r:id="rId3"/>
  </sheets>
  <definedNames/>
  <calcPr fullCalcOnLoad="1"/>
</workbook>
</file>

<file path=xl/sharedStrings.xml><?xml version="1.0" encoding="utf-8"?>
<sst xmlns="http://schemas.openxmlformats.org/spreadsheetml/2006/main" count="138" uniqueCount="16">
  <si>
    <t>Stationary Site</t>
  </si>
  <si>
    <t>Q =</t>
  </si>
  <si>
    <t>t =</t>
  </si>
  <si>
    <t>[ µg ]</t>
  </si>
  <si>
    <t>[ lpm ]</t>
  </si>
  <si>
    <t>[ min ]</t>
  </si>
  <si>
    <r>
      <t>m</t>
    </r>
    <r>
      <rPr>
        <b/>
        <vertAlign val="subscript"/>
        <sz val="10"/>
        <rFont val="Arial"/>
        <family val="0"/>
      </rPr>
      <t>1</t>
    </r>
    <r>
      <rPr>
        <b/>
        <sz val="10"/>
        <rFont val="Arial"/>
        <family val="0"/>
      </rPr>
      <t xml:space="preserve"> =</t>
    </r>
  </si>
  <si>
    <r>
      <t>m</t>
    </r>
    <r>
      <rPr>
        <b/>
        <vertAlign val="subscript"/>
        <sz val="10"/>
        <rFont val="Arial"/>
        <family val="0"/>
      </rPr>
      <t>2</t>
    </r>
    <r>
      <rPr>
        <b/>
        <sz val="10"/>
        <rFont val="Arial"/>
        <family val="0"/>
      </rPr>
      <t xml:space="preserve"> =</t>
    </r>
  </si>
  <si>
    <t>±</t>
  </si>
  <si>
    <t>C =</t>
  </si>
  <si>
    <r>
      <t>[ µg · m</t>
    </r>
    <r>
      <rPr>
        <b/>
        <vertAlign val="superscript"/>
        <sz val="10"/>
        <rFont val="Arial"/>
        <family val="0"/>
      </rPr>
      <t>-3</t>
    </r>
    <r>
      <rPr>
        <b/>
        <sz val="10"/>
        <rFont val="Arial"/>
        <family val="0"/>
      </rPr>
      <t xml:space="preserve"> ]</t>
    </r>
  </si>
  <si>
    <t>Mobile Site #1</t>
  </si>
  <si>
    <t>[ mg ]</t>
  </si>
  <si>
    <t>Mobile Site #2</t>
  </si>
  <si>
    <t>field blank correction =</t>
  </si>
  <si>
    <t>lab blank correction =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</si>
</sst>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"/>
    <numFmt numFmtId="170" formatCode="0"/>
    <numFmt numFmtId="171" formatCode="0.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vertAlign val="subscript"/>
      <sz val="10"/>
      <name val="Arial"/>
      <family val="0"/>
    </font>
    <font>
      <b/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125" zoomScaleNormal="125" workbookViewId="0" topLeftCell="A1">
      <selection activeCell="B19" sqref="B19"/>
    </sheetView>
  </sheetViews>
  <sheetFormatPr defaultColWidth="9.7109375" defaultRowHeight="15.75" customHeight="1"/>
  <cols>
    <col min="1" max="16384" width="9.7109375" style="1" customWidth="1"/>
  </cols>
  <sheetData>
    <row r="1" spans="3:5" ht="15.75" customHeight="1">
      <c r="C1" s="2" t="s">
        <v>15</v>
      </c>
      <c r="D1" s="4">
        <v>12</v>
      </c>
      <c r="E1" s="3" t="s">
        <v>3</v>
      </c>
    </row>
    <row r="2" spans="3:5" ht="15.75" customHeight="1">
      <c r="C2" s="2" t="s">
        <v>14</v>
      </c>
      <c r="D2" s="4">
        <v>13.3</v>
      </c>
      <c r="E2" s="3" t="s">
        <v>3</v>
      </c>
    </row>
    <row r="4" ht="15.75" customHeight="1">
      <c r="B4" s="3" t="s">
        <v>0</v>
      </c>
    </row>
    <row r="5" spans="1:3" ht="15.75" customHeight="1">
      <c r="A5" s="2" t="s">
        <v>1</v>
      </c>
      <c r="B5" s="5">
        <f>-0.000009159636*294^2+0.042199479452*294+9.577181287721</f>
        <v>21.192105949313</v>
      </c>
      <c r="C5" s="3" t="s">
        <v>4</v>
      </c>
    </row>
    <row r="6" spans="1:3" ht="15.75" customHeight="1">
      <c r="A6" s="2" t="s">
        <v>2</v>
      </c>
      <c r="B6" s="6">
        <v>170</v>
      </c>
      <c r="C6" s="3" t="s">
        <v>5</v>
      </c>
    </row>
    <row r="7" spans="1:5" ht="15.75" customHeight="1">
      <c r="A7" s="2" t="s">
        <v>6</v>
      </c>
      <c r="B7" s="7">
        <f>AVERAGE(172.601,172.568)-D$1/1000</f>
        <v>172.5725</v>
      </c>
      <c r="C7" s="3" t="s">
        <v>8</v>
      </c>
      <c r="D7" s="7">
        <f>STDEV(172.601,172.568)</f>
        <v>0.02333452390925852</v>
      </c>
      <c r="E7" s="3" t="s">
        <v>12</v>
      </c>
    </row>
    <row r="8" spans="1:5" ht="15.75" customHeight="1">
      <c r="A8" s="2" t="s">
        <v>7</v>
      </c>
      <c r="B8" s="7">
        <f>AVERAGE(172.671,172.646)-D$2/1000</f>
        <v>172.64520000000002</v>
      </c>
      <c r="C8" s="3" t="s">
        <v>8</v>
      </c>
      <c r="D8" s="7">
        <f>STDEV(172.671,172.646)</f>
        <v>0.01767766912630517</v>
      </c>
      <c r="E8" s="3" t="s">
        <v>12</v>
      </c>
    </row>
    <row r="9" spans="1:5" ht="15.75" customHeight="1">
      <c r="A9" s="2" t="s">
        <v>9</v>
      </c>
      <c r="B9" s="8">
        <f>((B8-B7)*1000-D$2)/(B5*0.001*B6)</f>
        <v>16.487826436020733</v>
      </c>
      <c r="C9" s="3" t="s">
        <v>8</v>
      </c>
      <c r="D9" s="1">
        <f>(D7^2+D8^2)^0.5*1000/(B5*0.001*B6)</f>
        <v>8.125823240574999</v>
      </c>
      <c r="E9" s="3" t="s">
        <v>10</v>
      </c>
    </row>
    <row r="11" ht="15.75" customHeight="1">
      <c r="B11" s="3" t="s">
        <v>11</v>
      </c>
    </row>
    <row r="12" spans="1:3" ht="15.75" customHeight="1">
      <c r="A12" s="2" t="s">
        <v>1</v>
      </c>
      <c r="B12" s="5">
        <f>-0.000009159636*168.6^2+0.042199479452*168.6+9.577181287721</f>
        <v>16.43164207677764</v>
      </c>
      <c r="C12" s="3" t="s">
        <v>4</v>
      </c>
    </row>
    <row r="13" spans="1:3" ht="15.75" customHeight="1">
      <c r="A13" s="2" t="s">
        <v>2</v>
      </c>
      <c r="B13" s="6">
        <v>127</v>
      </c>
      <c r="C13" s="3" t="s">
        <v>5</v>
      </c>
    </row>
    <row r="14" spans="1:5" ht="15.75" customHeight="1">
      <c r="A14" s="2" t="s">
        <v>6</v>
      </c>
      <c r="B14" s="7">
        <f>AVERAGE(170.451,170.437,170.441)-D$1/1000</f>
        <v>170.431</v>
      </c>
      <c r="C14" s="3" t="s">
        <v>8</v>
      </c>
      <c r="D14" s="7">
        <f>STDEV(170.451,170.437,170.441)</f>
        <v>0.007211101753548403</v>
      </c>
      <c r="E14" s="3" t="s">
        <v>12</v>
      </c>
    </row>
    <row r="15" spans="1:5" ht="15.75" customHeight="1">
      <c r="A15" s="2" t="s">
        <v>7</v>
      </c>
      <c r="B15" s="7">
        <f>AVERAGE(170.819,170.552)-D$2/1000</f>
        <v>170.6722</v>
      </c>
      <c r="C15" s="3" t="s">
        <v>8</v>
      </c>
      <c r="D15" s="7">
        <f>STDEV(170.819,170.552)</f>
        <v>0.188797510576178</v>
      </c>
      <c r="E15" s="3" t="s">
        <v>12</v>
      </c>
    </row>
    <row r="16" spans="1:5" ht="15.75" customHeight="1">
      <c r="A16" s="2" t="s">
        <v>9</v>
      </c>
      <c r="B16" s="8">
        <f>((B15-B14)*1000-D$2)/(B12*0.001*B13)</f>
        <v>109.20930364667653</v>
      </c>
      <c r="C16" s="3" t="s">
        <v>8</v>
      </c>
      <c r="D16" s="1">
        <f>(D14^2+D15^2)^0.5*1000/(B12*0.001*B13)</f>
        <v>90.53742339143362</v>
      </c>
      <c r="E16" s="3" t="s">
        <v>10</v>
      </c>
    </row>
    <row r="18" ht="15.75" customHeight="1">
      <c r="B18" s="3" t="s">
        <v>13</v>
      </c>
    </row>
    <row r="19" spans="1:3" ht="15.75" customHeight="1">
      <c r="A19" s="2" t="s">
        <v>1</v>
      </c>
      <c r="B19" s="5">
        <v>24</v>
      </c>
      <c r="C19" s="3" t="s">
        <v>4</v>
      </c>
    </row>
    <row r="20" spans="1:3" ht="15.75" customHeight="1">
      <c r="A20" s="2" t="s">
        <v>2</v>
      </c>
      <c r="B20" s="6">
        <v>61</v>
      </c>
      <c r="C20" s="3" t="s">
        <v>5</v>
      </c>
    </row>
    <row r="21" spans="1:5" ht="15.75" customHeight="1">
      <c r="A21" s="2" t="s">
        <v>6</v>
      </c>
      <c r="B21" s="7">
        <f>AVERAGE(171.29,171.293)-D$1/1000</f>
        <v>171.27949999999998</v>
      </c>
      <c r="C21" s="3" t="s">
        <v>8</v>
      </c>
      <c r="D21" s="7">
        <f>STDEV(171.29,171.293)</f>
        <v>0.0021213232750684945</v>
      </c>
      <c r="E21" s="3" t="s">
        <v>12</v>
      </c>
    </row>
    <row r="22" spans="1:5" ht="15.75" customHeight="1">
      <c r="A22" s="2" t="s">
        <v>7</v>
      </c>
      <c r="B22" s="7">
        <f>AVERAGE(171.373,171.391)-D$2/1000</f>
        <v>171.36870000000002</v>
      </c>
      <c r="C22" s="3" t="s">
        <v>8</v>
      </c>
      <c r="D22" s="7">
        <f>STDEV(171.373,171.391)</f>
        <v>0.012727921643346723</v>
      </c>
      <c r="E22" s="3" t="s">
        <v>12</v>
      </c>
    </row>
    <row r="23" spans="1:5" ht="15.75" customHeight="1">
      <c r="A23" s="2" t="s">
        <v>9</v>
      </c>
      <c r="B23" s="8">
        <f>((B22-B21)*1000-D$2)/(B19*0.001*B20)</f>
        <v>51.84426229510499</v>
      </c>
      <c r="C23" s="3" t="s">
        <v>8</v>
      </c>
      <c r="D23" s="1">
        <f>(D21^2+D22^2)^0.5*1000/(B19*0.001*B20)</f>
        <v>8.813857903126861</v>
      </c>
      <c r="E23" s="3" t="s">
        <v>10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="125" zoomScaleNormal="125" workbookViewId="0" topLeftCell="A1">
      <selection activeCell="A1" sqref="A1"/>
    </sheetView>
  </sheetViews>
  <sheetFormatPr defaultColWidth="9.7109375" defaultRowHeight="15.75" customHeight="1"/>
  <cols>
    <col min="1" max="16384" width="9.7109375" style="1" customWidth="1"/>
  </cols>
  <sheetData>
    <row r="1" spans="3:5" ht="15.75" customHeight="1">
      <c r="C1" s="2" t="s">
        <v>15</v>
      </c>
      <c r="D1" s="4">
        <v>12</v>
      </c>
      <c r="E1" s="3" t="s">
        <v>3</v>
      </c>
    </row>
    <row r="2" spans="3:5" ht="15.75" customHeight="1">
      <c r="C2" s="2" t="s">
        <v>14</v>
      </c>
      <c r="D2" s="4">
        <v>13.3</v>
      </c>
      <c r="E2" s="3" t="s">
        <v>3</v>
      </c>
    </row>
    <row r="4" ht="15.75" customHeight="1">
      <c r="B4" s="3" t="s">
        <v>0</v>
      </c>
    </row>
    <row r="5" spans="1:3" ht="15.75" customHeight="1">
      <c r="A5" s="2" t="s">
        <v>1</v>
      </c>
      <c r="B5" s="5">
        <f>-0.000009159636*302^2+0.042199479452*302+9.577181287721</f>
        <v>21.486028640481003</v>
      </c>
      <c r="C5" s="3" t="s">
        <v>4</v>
      </c>
    </row>
    <row r="6" spans="1:3" ht="15.75" customHeight="1">
      <c r="A6" s="2" t="s">
        <v>2</v>
      </c>
      <c r="B6" s="6">
        <v>171</v>
      </c>
      <c r="C6" s="3" t="s">
        <v>5</v>
      </c>
    </row>
    <row r="7" spans="1:5" ht="15.75" customHeight="1">
      <c r="A7" s="2" t="s">
        <v>6</v>
      </c>
      <c r="B7" s="7">
        <f>AVERAGE(166.819,166.826)-D$1/1000</f>
        <v>166.8105</v>
      </c>
      <c r="C7" s="3" t="s">
        <v>8</v>
      </c>
      <c r="D7" s="7">
        <f>STDEV(166.819,166.826)</f>
        <v>0.004949747203665011</v>
      </c>
      <c r="E7" s="3" t="s">
        <v>12</v>
      </c>
    </row>
    <row r="8" spans="1:5" ht="15.75" customHeight="1">
      <c r="A8" s="2" t="s">
        <v>7</v>
      </c>
      <c r="B8" s="7">
        <f>AVERAGE(167.015,166.964)-D$2/1000</f>
        <v>166.9762</v>
      </c>
      <c r="C8" s="3" t="s">
        <v>8</v>
      </c>
      <c r="D8" s="7">
        <f>STDEV(167.015,166.964)</f>
        <v>0.03606244584148883</v>
      </c>
      <c r="E8" s="3" t="s">
        <v>12</v>
      </c>
    </row>
    <row r="9" spans="1:5" ht="15.75" customHeight="1">
      <c r="A9" s="2" t="s">
        <v>9</v>
      </c>
      <c r="B9" s="8">
        <f>((B8-B7)*1000-D$2)/(B5*0.001*B6)</f>
        <v>41.47942298170446</v>
      </c>
      <c r="C9" s="3" t="s">
        <v>8</v>
      </c>
      <c r="D9" s="1">
        <f>(D7^2+D8^2)^0.5*1000/(B5*0.001*B6)</f>
        <v>9.90730830578097</v>
      </c>
      <c r="E9" s="3" t="s">
        <v>10</v>
      </c>
    </row>
    <row r="11" ht="15.75" customHeight="1">
      <c r="B11" s="3" t="s">
        <v>11</v>
      </c>
    </row>
    <row r="12" spans="1:3" ht="15.75" customHeight="1">
      <c r="A12" s="2" t="s">
        <v>1</v>
      </c>
      <c r="B12" s="5">
        <f>-0.000009159636*182.2^2+0.042199479452*182.2+9.577181287721</f>
        <v>16.961855473125162</v>
      </c>
      <c r="C12" s="3" t="s">
        <v>4</v>
      </c>
    </row>
    <row r="13" spans="1:3" ht="15.75" customHeight="1">
      <c r="A13" s="2" t="s">
        <v>2</v>
      </c>
      <c r="B13" s="6">
        <v>157</v>
      </c>
      <c r="C13" s="3" t="s">
        <v>5</v>
      </c>
    </row>
    <row r="14" spans="1:5" ht="15.75" customHeight="1">
      <c r="A14" s="2" t="s">
        <v>6</v>
      </c>
      <c r="B14" s="7">
        <f>AVERAGE(158.423,158.42)-D$1/1000</f>
        <v>158.40949999999998</v>
      </c>
      <c r="C14" s="3" t="s">
        <v>8</v>
      </c>
      <c r="D14" s="7">
        <f>STDEV(158.423,158.42)</f>
        <v>0.0021213232750684945</v>
      </c>
      <c r="E14" s="3" t="s">
        <v>12</v>
      </c>
    </row>
    <row r="15" spans="1:5" ht="15.75" customHeight="1">
      <c r="A15" s="2" t="s">
        <v>7</v>
      </c>
      <c r="B15" s="7">
        <f>AVERAGE(158.456,158.469)-D$2/1000</f>
        <v>158.4492</v>
      </c>
      <c r="C15" s="3" t="s">
        <v>8</v>
      </c>
      <c r="D15" s="7">
        <f>STDEV(158.456,158.469)</f>
        <v>0.00919238832624143</v>
      </c>
      <c r="E15" s="3" t="s">
        <v>12</v>
      </c>
    </row>
    <row r="16" spans="1:5" ht="15.75" customHeight="1">
      <c r="A16" s="2" t="s">
        <v>9</v>
      </c>
      <c r="B16" s="8">
        <f>((B15-B14)*1000-D$2)/(B12*0.001*B13)</f>
        <v>9.913589141738132</v>
      </c>
      <c r="C16" s="3" t="s">
        <v>8</v>
      </c>
      <c r="D16" s="1">
        <f>(D14^2+D15^2)^0.5*1000/(B12*0.001*B13)</f>
        <v>3.542599284050708</v>
      </c>
      <c r="E16" s="3" t="s">
        <v>10</v>
      </c>
    </row>
    <row r="18" ht="15.75" customHeight="1">
      <c r="B18" s="3" t="s">
        <v>13</v>
      </c>
    </row>
    <row r="19" spans="1:3" ht="15.75" customHeight="1">
      <c r="A19" s="2" t="s">
        <v>1</v>
      </c>
      <c r="B19" s="5">
        <v>24</v>
      </c>
      <c r="C19" s="3" t="s">
        <v>4</v>
      </c>
    </row>
    <row r="20" spans="1:3" ht="15.75" customHeight="1">
      <c r="A20" s="2" t="s">
        <v>2</v>
      </c>
      <c r="B20" s="6">
        <v>97</v>
      </c>
      <c r="C20" s="3" t="s">
        <v>5</v>
      </c>
    </row>
    <row r="21" spans="1:5" ht="15.75" customHeight="1">
      <c r="A21" s="2" t="s">
        <v>6</v>
      </c>
      <c r="B21" s="7">
        <f>AVERAGE(175.65,175.673)-D$1/1000</f>
        <v>175.6495</v>
      </c>
      <c r="C21" s="3" t="s">
        <v>8</v>
      </c>
      <c r="D21" s="7">
        <f>STDEV(175.65,175.673)</f>
        <v>0.016263456371422173</v>
      </c>
      <c r="E21" s="3" t="s">
        <v>12</v>
      </c>
    </row>
    <row r="22" spans="1:5" ht="15.75" customHeight="1">
      <c r="A22" s="2" t="s">
        <v>7</v>
      </c>
      <c r="B22" s="7">
        <f>AVERAGE(177.445,175.84,176.432)-D$2/1000</f>
        <v>176.55903333333333</v>
      </c>
      <c r="C22" s="3" t="s">
        <v>8</v>
      </c>
      <c r="D22" s="7">
        <f>STDEV(177.445,175.84,176.432)</f>
        <v>0.8116503762934509</v>
      </c>
      <c r="E22" s="3" t="s">
        <v>12</v>
      </c>
    </row>
    <row r="23" spans="1:5" ht="15.75" customHeight="1">
      <c r="A23" s="2" t="s">
        <v>9</v>
      </c>
      <c r="B23" s="8">
        <f>((B22-B21)*1000-D$2)/(B19*0.001*B20)</f>
        <v>384.97995418098924</v>
      </c>
      <c r="C23" s="3" t="s">
        <v>8</v>
      </c>
      <c r="D23" s="1">
        <f>(D21^2+D22^2)^0.5*1000/(B19*0.001*B20)</f>
        <v>348.717053077705</v>
      </c>
      <c r="E23" s="3" t="s">
        <v>10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="125" zoomScaleNormal="125" workbookViewId="0" topLeftCell="A1">
      <selection activeCell="A1" sqref="A1"/>
    </sheetView>
  </sheetViews>
  <sheetFormatPr defaultColWidth="9.7109375" defaultRowHeight="15.75" customHeight="1"/>
  <cols>
    <col min="1" max="16384" width="9.7109375" style="1" customWidth="1"/>
  </cols>
  <sheetData>
    <row r="1" spans="3:5" ht="15.75" customHeight="1">
      <c r="C1" s="2" t="s">
        <v>15</v>
      </c>
      <c r="D1" s="4">
        <v>12</v>
      </c>
      <c r="E1" s="3" t="s">
        <v>3</v>
      </c>
    </row>
    <row r="2" spans="3:5" ht="15.75" customHeight="1">
      <c r="C2" s="2" t="s">
        <v>14</v>
      </c>
      <c r="D2" s="4">
        <v>13.3</v>
      </c>
      <c r="E2" s="3" t="s">
        <v>3</v>
      </c>
    </row>
    <row r="4" ht="15.75" customHeight="1">
      <c r="B4" s="3" t="s">
        <v>0</v>
      </c>
    </row>
    <row r="5" spans="1:3" ht="15.75" customHeight="1">
      <c r="A5" s="2" t="s">
        <v>1</v>
      </c>
      <c r="B5" s="5">
        <f>-0.000009159636*294^2+0.042199479452*294+9.577181287721</f>
        <v>21.192105949313</v>
      </c>
      <c r="C5" s="3" t="s">
        <v>4</v>
      </c>
    </row>
    <row r="6" spans="1:3" ht="15.75" customHeight="1">
      <c r="A6" s="2" t="s">
        <v>2</v>
      </c>
      <c r="B6" s="6">
        <v>224</v>
      </c>
      <c r="C6" s="3" t="s">
        <v>5</v>
      </c>
    </row>
    <row r="7" spans="1:5" ht="15.75" customHeight="1">
      <c r="A7" s="2" t="s">
        <v>6</v>
      </c>
      <c r="B7" s="7">
        <f>AVERAGE(166.584,166.56,166.563)-D$1/1000</f>
        <v>166.557</v>
      </c>
      <c r="C7" s="3" t="s">
        <v>8</v>
      </c>
      <c r="D7" s="7">
        <f>STDEV(166.584,166.56,166.563)</f>
        <v>0.013076696818461202</v>
      </c>
      <c r="E7" s="3" t="s">
        <v>12</v>
      </c>
    </row>
    <row r="8" spans="1:5" ht="15.75" customHeight="1">
      <c r="A8" s="2" t="s">
        <v>7</v>
      </c>
      <c r="B8" s="7">
        <f>AVERAGE(171.218,170.477,169.239)-D$2/1000</f>
        <v>170.29803333333334</v>
      </c>
      <c r="C8" s="3" t="s">
        <v>8</v>
      </c>
      <c r="D8" s="7">
        <f>STDEV(171.218,170.477,169.239)</f>
        <v>0.9998471549850595</v>
      </c>
      <c r="E8" s="3" t="s">
        <v>12</v>
      </c>
    </row>
    <row r="9" spans="1:5" ht="15.75" customHeight="1">
      <c r="A9" s="2" t="s">
        <v>9</v>
      </c>
      <c r="B9" s="8">
        <f>((B8-B7)*1000-D$2)/(B5*0.001*B6)</f>
        <v>785.2766830474543</v>
      </c>
      <c r="C9" s="3" t="s">
        <v>8</v>
      </c>
      <c r="D9" s="1">
        <f>(D7^2+D8^2)^0.5*1000/(B5*0.001*B6)</f>
        <v>210.64377082671643</v>
      </c>
      <c r="E9" s="3" t="s">
        <v>10</v>
      </c>
    </row>
    <row r="11" ht="15.75" customHeight="1">
      <c r="B11" s="3" t="s">
        <v>11</v>
      </c>
    </row>
    <row r="12" spans="1:3" ht="15.75" customHeight="1">
      <c r="A12" s="2" t="s">
        <v>1</v>
      </c>
      <c r="B12" s="5">
        <f>-0.000009159636*191.5^2+0.042199479452*191.5+9.577181287721</f>
        <v>17.322477141478</v>
      </c>
      <c r="C12" s="3" t="s">
        <v>4</v>
      </c>
    </row>
    <row r="13" spans="1:3" ht="15.75" customHeight="1">
      <c r="A13" s="2" t="s">
        <v>2</v>
      </c>
      <c r="B13" s="6">
        <v>192</v>
      </c>
      <c r="C13" s="3" t="s">
        <v>5</v>
      </c>
    </row>
    <row r="14" spans="1:5" ht="15.75" customHeight="1">
      <c r="A14" s="2" t="s">
        <v>6</v>
      </c>
      <c r="B14" s="7">
        <f>AVERAGE(174.79,174.792)-D$1/1000</f>
        <v>174.779</v>
      </c>
      <c r="C14" s="3" t="s">
        <v>8</v>
      </c>
      <c r="D14" s="7">
        <f>STDEV(174.79,174.792)</f>
        <v>0.0014142138017540034</v>
      </c>
      <c r="E14" s="3" t="s">
        <v>12</v>
      </c>
    </row>
    <row r="15" spans="1:5" ht="15.75" customHeight="1">
      <c r="A15" s="2" t="s">
        <v>7</v>
      </c>
      <c r="B15" s="7">
        <f>AVERAGE(175.248,175.249)-D$2/1000</f>
        <v>175.2352</v>
      </c>
      <c r="C15" s="3" t="s">
        <v>8</v>
      </c>
      <c r="D15" s="7">
        <f>STDEV(175.248,175.249)</f>
        <v>0.0007071146181520356</v>
      </c>
      <c r="E15" s="3" t="s">
        <v>12</v>
      </c>
    </row>
    <row r="16" spans="1:5" ht="15.75" customHeight="1">
      <c r="A16" s="2" t="s">
        <v>9</v>
      </c>
      <c r="B16" s="8">
        <f>((B15-B14)*1000-D$2)/(B12*0.001*B13)</f>
        <v>133.16633726765536</v>
      </c>
      <c r="C16" s="3" t="s">
        <v>8</v>
      </c>
      <c r="D16" s="1">
        <f>(D14^2+D15^2)^0.5*1000/(B12*0.001*B13)</f>
        <v>0.47540068175461125</v>
      </c>
      <c r="E16" s="3" t="s">
        <v>10</v>
      </c>
    </row>
    <row r="18" ht="15.75" customHeight="1">
      <c r="B18" s="3" t="s">
        <v>13</v>
      </c>
    </row>
    <row r="19" spans="1:3" ht="15.75" customHeight="1">
      <c r="A19" s="2" t="s">
        <v>1</v>
      </c>
      <c r="B19" s="5">
        <v>24</v>
      </c>
      <c r="C19" s="3" t="s">
        <v>4</v>
      </c>
    </row>
    <row r="20" spans="1:3" ht="15.75" customHeight="1">
      <c r="A20" s="2" t="s">
        <v>2</v>
      </c>
      <c r="B20" s="6">
        <v>142</v>
      </c>
      <c r="C20" s="3" t="s">
        <v>5</v>
      </c>
    </row>
    <row r="21" spans="1:5" ht="15.75" customHeight="1">
      <c r="A21" s="2" t="s">
        <v>6</v>
      </c>
      <c r="B21" s="7">
        <f>AVERAGE(170.099,170.134,170.102)-D$1/1000</f>
        <v>170.09966666666665</v>
      </c>
      <c r="C21" s="3" t="s">
        <v>8</v>
      </c>
      <c r="D21" s="7">
        <f>STDEV(170.099,170.134,170.102)</f>
        <v>0.019399312985781247</v>
      </c>
      <c r="E21" s="3" t="s">
        <v>12</v>
      </c>
    </row>
    <row r="22" spans="1:5" ht="15.75" customHeight="1">
      <c r="A22" s="2" t="s">
        <v>7</v>
      </c>
      <c r="B22" s="7">
        <f>AVERAGE(170.399,170.235,170.226)-D$2/1000</f>
        <v>170.27336666666667</v>
      </c>
      <c r="C22" s="3" t="s">
        <v>8</v>
      </c>
      <c r="D22" s="7">
        <f>STDEV(170.399,170.235,170.226)</f>
        <v>0.09738754199291601</v>
      </c>
      <c r="E22" s="3" t="s">
        <v>12</v>
      </c>
    </row>
    <row r="23" spans="1:5" ht="15.75" customHeight="1">
      <c r="A23" s="2" t="s">
        <v>9</v>
      </c>
      <c r="B23" s="8">
        <f>((B22-B21)*1000-D$2)/(B19*0.001*B20)</f>
        <v>47.06572769953787</v>
      </c>
      <c r="C23" s="3" t="s">
        <v>8</v>
      </c>
      <c r="D23" s="1">
        <f>(D21^2+D22^2)^0.5*1000/(B19*0.001*B20)</f>
        <v>29.137584983013216</v>
      </c>
      <c r="E23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dcterms:created xsi:type="dcterms:W3CDTF">2011-04-19T17:58:29Z</dcterms:created>
  <dcterms:modified xsi:type="dcterms:W3CDTF">2011-04-20T17:33:08Z</dcterms:modified>
  <cp:category/>
  <cp:version/>
  <cp:contentType/>
  <cp:contentStatus/>
</cp:coreProperties>
</file>